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55" windowHeight="6240" activeTab="0"/>
  </bookViews>
  <sheets>
    <sheet name="GallrUtbyte" sheetId="1" r:id="rId1"/>
    <sheet name="MaskinKalkyl" sheetId="2" r:id="rId2"/>
    <sheet name="Resursbehov" sheetId="3" r:id="rId3"/>
    <sheet name="BortsättnKalkyl" sheetId="4" r:id="rId4"/>
  </sheets>
  <definedNames/>
  <calcPr fullCalcOnLoad="1"/>
</workbook>
</file>

<file path=xl/sharedStrings.xml><?xml version="1.0" encoding="utf-8"?>
<sst xmlns="http://schemas.openxmlformats.org/spreadsheetml/2006/main" count="174" uniqueCount="123">
  <si>
    <t>Södra Sverige</t>
  </si>
  <si>
    <t>Alla värden avser ett hektar</t>
  </si>
  <si>
    <t>Förutsättningar</t>
  </si>
  <si>
    <t>Tall</t>
  </si>
  <si>
    <t>Gran</t>
  </si>
  <si>
    <t>Löv</t>
  </si>
  <si>
    <t>Summa</t>
  </si>
  <si>
    <t>Medel</t>
  </si>
  <si>
    <r>
      <t>Grundyta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/ ha</t>
    </r>
  </si>
  <si>
    <t>Stamantal / ha</t>
  </si>
  <si>
    <t>Medelhöjd m</t>
  </si>
  <si>
    <t>Dubbel barktjocklek mm</t>
  </si>
  <si>
    <t>Grundytemedelstam dbrh</t>
  </si>
  <si>
    <r>
      <t>Volym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sk pb</t>
    </r>
  </si>
  <si>
    <t>Utbyte</t>
  </si>
  <si>
    <t>Min toppdiam timmer cm</t>
  </si>
  <si>
    <r>
      <t>Omräkningstal 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0"/>
      </rPr>
      <t>ub -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f ub</t>
    </r>
  </si>
  <si>
    <t>Grundytemedlstam dbrh ub</t>
  </si>
  <si>
    <r>
      <t>Volym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ub</t>
    </r>
  </si>
  <si>
    <r>
      <t>Volym gagnvirke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f ub</t>
    </r>
  </si>
  <si>
    <r>
      <t>Volym timmer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f ub</t>
    </r>
  </si>
  <si>
    <t>Timrets medeldiam cm</t>
  </si>
  <si>
    <r>
      <t>Volym timmer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to</t>
    </r>
  </si>
  <si>
    <r>
      <t>Volym massaved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f ub</t>
    </r>
  </si>
  <si>
    <t>Priser</t>
  </si>
  <si>
    <r>
      <t>Timmer kr/m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to</t>
    </r>
  </si>
  <si>
    <r>
      <t>Massaved kr/m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f ub</t>
    </r>
  </si>
  <si>
    <t>Balansräkning</t>
  </si>
  <si>
    <t>Intäkter timmer</t>
  </si>
  <si>
    <t>Intäkter massaved</t>
  </si>
  <si>
    <t>Kostnader</t>
  </si>
  <si>
    <t>Resultat</t>
  </si>
  <si>
    <t>Totalt</t>
  </si>
  <si>
    <t>Gallring</t>
  </si>
  <si>
    <t>Medelträd</t>
  </si>
  <si>
    <t>Procent</t>
  </si>
  <si>
    <t>Intäkter</t>
  </si>
  <si>
    <t>Brukarens kapacitet jmf med yrkesarbetare</t>
  </si>
  <si>
    <t>Resursbehov</t>
  </si>
  <si>
    <t>totalt</t>
  </si>
  <si>
    <t>kr/tim</t>
  </si>
  <si>
    <t>Skördare lejd</t>
  </si>
  <si>
    <t>Huggning lejd  tall o löv</t>
  </si>
  <si>
    <t xml:space="preserve">                         gran</t>
  </si>
  <si>
    <t>Skotning lejd</t>
  </si>
  <si>
    <t>Egna maskiner</t>
  </si>
  <si>
    <t>Motorsåg</t>
  </si>
  <si>
    <t>Jordbrukstraktor m linkran</t>
  </si>
  <si>
    <t>Jordbrukstraktor m griplast</t>
  </si>
  <si>
    <t>Övriga omkostnader</t>
  </si>
  <si>
    <t>Summa kostnader</t>
  </si>
  <si>
    <t>K1 Lejd skördare o skotare</t>
  </si>
  <si>
    <t>K2 Lejd huggning o skotare</t>
  </si>
  <si>
    <t>K3 Egen huggning o lejd skotare</t>
  </si>
  <si>
    <t>K4 Egen huggning o körning med linkran</t>
  </si>
  <si>
    <t>K5 Egen huggning o körning med griplastarvagn</t>
  </si>
  <si>
    <t>Täckningsbidrag</t>
  </si>
  <si>
    <t>Intäkter -  Lejd skördare o skotare</t>
  </si>
  <si>
    <t>Intäkter -  Lejd huggning o skotare</t>
  </si>
  <si>
    <t>Intäkter -  Egen huggning o lejd skotare</t>
  </si>
  <si>
    <t>Intäkter -  Egen huggning o körning med linkran</t>
  </si>
  <si>
    <t>Intäkter -  Egen huggning o körning med griplastarvagn</t>
  </si>
  <si>
    <t>Skogsbrukarens ersättning för arbete och virke</t>
  </si>
  <si>
    <t>Egen motorman avverkning jmf med lejd skördare</t>
  </si>
  <si>
    <t>Egen motorman avverkning jmf med lejd motorman avverkning</t>
  </si>
  <si>
    <t>Körning jbrtraktor m linkran jmf med lejd skotare</t>
  </si>
  <si>
    <t>Körning jbrtraktor m griplastarvagn jmf med lejd skotare</t>
  </si>
  <si>
    <t>K3 jmf med K1</t>
  </si>
  <si>
    <t>K4 jmf med K1</t>
  </si>
  <si>
    <t>K5 jmf med K1</t>
  </si>
  <si>
    <t>K3 jmf med K2</t>
  </si>
  <si>
    <t>K4 jmf med K2</t>
  </si>
  <si>
    <t>K5 jmf med K2</t>
  </si>
  <si>
    <t>Jordbrukstraktor</t>
  </si>
  <si>
    <t>Skogskärra</t>
  </si>
  <si>
    <t>Griplastarvagn</t>
  </si>
  <si>
    <t>Linkran</t>
  </si>
  <si>
    <t>Investerat kapital kr</t>
  </si>
  <si>
    <t>Avskrivningstid år</t>
  </si>
  <si>
    <t>Restvärde kr</t>
  </si>
  <si>
    <t>Driv o smörjmedel kr/tim</t>
  </si>
  <si>
    <t>Underhåll, rep.  kr/tim</t>
  </si>
  <si>
    <t>Användning tim/år</t>
  </si>
  <si>
    <t>Kostnader Kr/År</t>
  </si>
  <si>
    <t>Avskrivning</t>
  </si>
  <si>
    <t>Ränta</t>
  </si>
  <si>
    <t>Driv o smörjmedel</t>
  </si>
  <si>
    <t>Underhåll, reparationer</t>
  </si>
  <si>
    <t>Summa kostnader Kr/år</t>
  </si>
  <si>
    <t>Kostnad Kr/tim</t>
  </si>
  <si>
    <t>Resursåtgång enligt SLU:s områdeskalkyler S Sv</t>
  </si>
  <si>
    <t>Åtgärd</t>
  </si>
  <si>
    <t>Trädslag</t>
  </si>
  <si>
    <t>Grundytevägd medeldiameter</t>
  </si>
  <si>
    <t>Slutavverkn</t>
  </si>
  <si>
    <t>Tall/Löv</t>
  </si>
  <si>
    <t>saknas</t>
  </si>
  <si>
    <t>Skotare</t>
  </si>
  <si>
    <t>gallring</t>
  </si>
  <si>
    <t>slutavverkn</t>
  </si>
  <si>
    <t>Jordbrukstraktor med linkran</t>
  </si>
  <si>
    <t>Jordbrukstraktor med griplast</t>
  </si>
  <si>
    <t>Kalkylränta % (real)</t>
  </si>
  <si>
    <t>GALLRINGSKALKYL</t>
  </si>
  <si>
    <t>BORTSÄTTNINGSKALKYL</t>
  </si>
  <si>
    <r>
      <t>Huggning kr/m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fub</t>
    </r>
  </si>
  <si>
    <r>
      <t>Körning kr/m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fub</t>
    </r>
  </si>
  <si>
    <r>
      <t>Övrigt kr/m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fub</t>
    </r>
  </si>
  <si>
    <r>
      <t>Kr/m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fub</t>
    </r>
  </si>
  <si>
    <r>
      <t>Avverkning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fub/år</t>
    </r>
  </si>
  <si>
    <r>
      <t>Kostnad Kr/m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0"/>
      </rPr>
      <t xml:space="preserve"> fub</t>
    </r>
  </si>
  <si>
    <r>
      <t>kr/m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fub</t>
    </r>
  </si>
  <si>
    <r>
      <t>Volym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fub</t>
    </r>
  </si>
  <si>
    <r>
      <t>tim/m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fub</t>
    </r>
  </si>
  <si>
    <r>
      <t>kr/m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fub</t>
    </r>
  </si>
  <si>
    <r>
      <t>Resursåtgång i tim/m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 xml:space="preserve"> fub vid motormanuell huggning</t>
    </r>
  </si>
  <si>
    <r>
      <t>Resursåtgång i tim/m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 xml:space="preserve"> fub vid mekaniserad avverkning</t>
    </r>
  </si>
  <si>
    <r>
      <t>tim/m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fub</t>
    </r>
  </si>
  <si>
    <r>
      <t>Resursåtgång i tim/m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 xml:space="preserve"> fub vid uttransport av virke</t>
    </r>
  </si>
  <si>
    <t>Restvärdets nuvärde kr</t>
  </si>
  <si>
    <t>Försäkring och skatt</t>
  </si>
  <si>
    <t>Fasta kostnader</t>
  </si>
  <si>
    <t>Rörliga kostnader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</si>
</sst>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20"/>
      <name val="Arial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0" fontId="0" fillId="0" borderId="0" xfId="0" applyBorder="1" applyAlignment="1">
      <alignment/>
    </xf>
    <xf numFmtId="1" fontId="0" fillId="2" borderId="0" xfId="0" applyNumberFormat="1" applyFill="1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Alignment="1" applyProtection="1">
      <alignment/>
      <protection locked="0"/>
    </xf>
    <xf numFmtId="168" fontId="0" fillId="2" borderId="0" xfId="0" applyNumberFormat="1" applyFill="1" applyAlignment="1" applyProtection="1">
      <alignment/>
      <protection locked="0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9" fontId="8" fillId="2" borderId="0" xfId="0" applyNumberFormat="1" applyFont="1" applyFill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 locked="0"/>
    </xf>
    <xf numFmtId="2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1" fontId="0" fillId="2" borderId="3" xfId="0" applyNumberFormat="1" applyFill="1" applyBorder="1" applyAlignment="1" applyProtection="1">
      <alignment/>
      <protection locked="0"/>
    </xf>
    <xf numFmtId="1" fontId="0" fillId="2" borderId="4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" fontId="0" fillId="0" borderId="9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0" fillId="0" borderId="3" xfId="0" applyNumberFormat="1" applyBorder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19050</xdr:rowOff>
    </xdr:from>
    <xdr:to>
      <xdr:col>5</xdr:col>
      <xdr:colOff>266700</xdr:colOff>
      <xdr:row>2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95375" y="19050"/>
          <a:ext cx="3790950" cy="371475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MASKINKOSTNADSKALKYL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zoomScale="85" zoomScaleNormal="85" workbookViewId="0" topLeftCell="A1">
      <selection activeCell="C5" sqref="C5"/>
    </sheetView>
  </sheetViews>
  <sheetFormatPr defaultColWidth="8.88671875" defaultRowHeight="15"/>
  <cols>
    <col min="1" max="1" width="3.21484375" style="0" customWidth="1"/>
    <col min="2" max="2" width="23.4453125" style="0" customWidth="1"/>
    <col min="3" max="9" width="8.77734375" style="0" customWidth="1"/>
  </cols>
  <sheetData>
    <row r="1" ht="26.25">
      <c r="B1" s="15" t="s">
        <v>103</v>
      </c>
    </row>
    <row r="3" spans="1:7" ht="15">
      <c r="A3" s="1"/>
      <c r="B3" s="1"/>
      <c r="C3" s="1" t="s">
        <v>0</v>
      </c>
      <c r="D3" s="1"/>
      <c r="E3" s="1" t="s">
        <v>1</v>
      </c>
      <c r="F3" s="1"/>
      <c r="G3" s="1"/>
    </row>
    <row r="4" spans="1:7" ht="15.75">
      <c r="A4" s="2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2:7" ht="18">
      <c r="B5" t="s">
        <v>8</v>
      </c>
      <c r="C5" s="10">
        <v>2</v>
      </c>
      <c r="D5" s="10">
        <v>4</v>
      </c>
      <c r="E5" s="10">
        <v>1.6</v>
      </c>
      <c r="F5" s="5">
        <f>SUM(C5:E5)</f>
        <v>7.6</v>
      </c>
      <c r="G5" s="5">
        <f>F5/3</f>
        <v>2.533333333333333</v>
      </c>
    </row>
    <row r="6" spans="2:7" ht="15">
      <c r="B6" t="s">
        <v>9</v>
      </c>
      <c r="C6" s="11">
        <v>94</v>
      </c>
      <c r="D6" s="11">
        <v>238</v>
      </c>
      <c r="E6" s="11">
        <v>156</v>
      </c>
      <c r="F6">
        <f>SUM(C6:E6)</f>
        <v>488</v>
      </c>
      <c r="G6" s="6">
        <f>F6/3</f>
        <v>162.66666666666666</v>
      </c>
    </row>
    <row r="7" spans="2:7" ht="15">
      <c r="B7" t="s">
        <v>10</v>
      </c>
      <c r="C7" s="10">
        <v>14.5</v>
      </c>
      <c r="D7" s="10">
        <v>14</v>
      </c>
      <c r="E7" s="10">
        <v>12</v>
      </c>
      <c r="F7" s="5"/>
      <c r="G7" s="5">
        <f>IF(F6&gt;0,(C7*C6+D7*D6+E7*E6)/F6,"")</f>
        <v>13.456967213114755</v>
      </c>
    </row>
    <row r="8" spans="2:5" ht="15">
      <c r="B8" t="s">
        <v>11</v>
      </c>
      <c r="C8" s="11">
        <v>20</v>
      </c>
      <c r="D8" s="11">
        <v>12</v>
      </c>
      <c r="E8" s="11">
        <v>18</v>
      </c>
    </row>
    <row r="10" spans="2:7" ht="15">
      <c r="B10" t="s">
        <v>12</v>
      </c>
      <c r="C10" s="5">
        <f>IF(C5&gt;0,SQRT(C5/C6/PI())*200,0)</f>
        <v>16.459101761478827</v>
      </c>
      <c r="D10" s="5">
        <f>IF(D5&gt;0,SQRT(D5/D6/PI())*200,0)</f>
        <v>14.628391553800022</v>
      </c>
      <c r="E10" s="5">
        <f>IF(E5&gt;0,SQRT(E5/E6/PI())*200,0)</f>
        <v>11.427540035147043</v>
      </c>
      <c r="F10" s="5"/>
      <c r="G10" s="5">
        <f>IF(G6&gt;0,SQRT(G5/G6/PI())*200,"")</f>
        <v>14.081598080755436</v>
      </c>
    </row>
    <row r="11" spans="2:9" ht="18">
      <c r="B11" t="s">
        <v>13</v>
      </c>
      <c r="C11" s="5">
        <f>IF(C5&gt;0,(0.1072*C10^2+0.02427*C10^2*C7+0.007315*C10*C7^2)*C6/1000,0)</f>
        <v>14.070759854426429</v>
      </c>
      <c r="D11" s="5">
        <f>IF(D5&gt;0,(0.1104*D10^2+0.01925*D10^2*D7+0.01815*D10*D7^2-0.04936*D7^2)*D6/1000,0)</f>
        <v>29.430894388805722</v>
      </c>
      <c r="E11" s="5">
        <f>IF(E5&gt;0,(0.1432*E10^2+0.008561*E10^2*E7+0.0218*E10*E7^2-0.0663*E7^2)*E6/1000,0)</f>
        <v>9.11696241727297</v>
      </c>
      <c r="F11" s="5">
        <f>SUM(C11:E11)</f>
        <v>52.618616660505126</v>
      </c>
      <c r="G11" s="7">
        <f>IF(F6&gt;0,F11/F6,"")</f>
        <v>0.10782503414037936</v>
      </c>
      <c r="H11" s="13"/>
      <c r="I11" s="13"/>
    </row>
    <row r="12" spans="1:9" ht="15">
      <c r="A12" s="1"/>
      <c r="B12" s="1"/>
      <c r="C12" s="1"/>
      <c r="D12" s="1"/>
      <c r="E12" s="1"/>
      <c r="F12" s="1"/>
      <c r="G12" s="1"/>
      <c r="H12" s="13"/>
      <c r="I12" s="13"/>
    </row>
    <row r="13" spans="1:7" ht="15.75">
      <c r="A13" s="2" t="s">
        <v>14</v>
      </c>
      <c r="C13" s="8" t="s">
        <v>3</v>
      </c>
      <c r="D13" s="8" t="s">
        <v>4</v>
      </c>
      <c r="E13" s="8" t="s">
        <v>5</v>
      </c>
      <c r="G13" s="8" t="s">
        <v>6</v>
      </c>
    </row>
    <row r="14" spans="2:4" ht="15">
      <c r="B14" t="s">
        <v>15</v>
      </c>
      <c r="C14" s="11">
        <v>12</v>
      </c>
      <c r="D14" s="11">
        <v>12</v>
      </c>
    </row>
    <row r="15" spans="2:5" ht="18">
      <c r="B15" t="s">
        <v>16</v>
      </c>
      <c r="E15" s="12">
        <v>0.8</v>
      </c>
    </row>
    <row r="17" spans="2:5" ht="15">
      <c r="B17" t="s">
        <v>17</v>
      </c>
      <c r="C17" s="5">
        <f>IF(C5&gt;0,C10-C8/10,0)</f>
        <v>14.459101761478827</v>
      </c>
      <c r="D17" s="5">
        <f>IF(D5&gt;0,D10-D8/10,0)</f>
        <v>13.428391553800022</v>
      </c>
      <c r="E17" s="5">
        <f>IF(E5&gt;0,E10-E8/10,0)</f>
        <v>9.627540035147042</v>
      </c>
    </row>
    <row r="18" spans="2:7" ht="18">
      <c r="B18" t="s">
        <v>18</v>
      </c>
      <c r="C18" s="5">
        <f>(0.06271*C17^2+0.03208*C17^2*C7+0.005725*C17*C7^2)*C6/1000</f>
        <v>12.009780326098834</v>
      </c>
      <c r="D18" s="5">
        <f>IF(D5&gt;0,(0.1076*D17^2+0.01929*D17^2*D7+0.01723*D17*D7^2-0.04615*D7^2)*D6/1000,0)</f>
        <v>24.84806766840824</v>
      </c>
      <c r="E18" s="5">
        <f>IF(E5&gt;0,(0.1432*E17^2+0.008561*E17^2*E7+0.0218*E17*E7^2-0.0663*E7^2)*E6/1000,0)</f>
        <v>6.7814595363941725</v>
      </c>
      <c r="G18" s="5">
        <f>SUM(C18:E18)</f>
        <v>43.63930753090125</v>
      </c>
    </row>
    <row r="19" spans="2:7" ht="18">
      <c r="B19" t="s">
        <v>19</v>
      </c>
      <c r="C19" s="5">
        <f>C18*(1-0.86/(C17-5))</f>
        <v>10.917878437221146</v>
      </c>
      <c r="D19" s="5">
        <f>D18*(1-0.86/(D17-5))</f>
        <v>22.312668350706097</v>
      </c>
      <c r="E19" s="5">
        <f>E18*E15</f>
        <v>5.425167629115339</v>
      </c>
      <c r="G19" s="5">
        <f>SUM(C19:E19)</f>
        <v>38.65571441704258</v>
      </c>
    </row>
    <row r="20" spans="2:7" ht="18">
      <c r="B20" t="s">
        <v>20</v>
      </c>
      <c r="C20" s="5">
        <f>IF(C5&gt;0,C18*(0.86-0.6*C14/C17+0.009*C17-0.01*C14),0)</f>
        <v>4.469748065629982</v>
      </c>
      <c r="D20" s="5">
        <f>IF(D5&gt;0,D18*(0.86-0.6*D14/D17+0.009*D17-0.01*D14),0)</f>
        <v>8.067624123812081</v>
      </c>
      <c r="G20" s="5">
        <f>SUM(C20:E20)</f>
        <v>12.537372189442063</v>
      </c>
    </row>
    <row r="21" spans="2:7" ht="15">
      <c r="B21" t="s">
        <v>21</v>
      </c>
      <c r="C21" s="5">
        <f>IF(C5&gt;0,3+0.52*C17+0.43*C14,0)</f>
        <v>15.67873291596899</v>
      </c>
      <c r="D21" s="5">
        <f>IF(D5&gt;0,3+0.52*D17+0.43*D14,0)</f>
        <v>15.142763607976011</v>
      </c>
      <c r="E21" s="5"/>
      <c r="G21" s="5"/>
    </row>
    <row r="23" spans="2:7" ht="18">
      <c r="B23" t="s">
        <v>22</v>
      </c>
      <c r="C23" s="5">
        <f>IF(C20&gt;0,C20/(1.29-0.009*C7+0.003*C17),0)</f>
        <v>3.715880286371394</v>
      </c>
      <c r="D23" s="5">
        <f>IF(D20&gt;0,D20/(1.29-0.009*D7+0.003*D17),0)</f>
        <v>6.699097766507334</v>
      </c>
      <c r="E23" s="5"/>
      <c r="G23" s="5">
        <f>SUM(C23:E23)</f>
        <v>10.414978052878729</v>
      </c>
    </row>
    <row r="24" spans="2:5" ht="18">
      <c r="B24" t="s">
        <v>23</v>
      </c>
      <c r="C24" s="5">
        <f>C19-C20</f>
        <v>6.448130371591164</v>
      </c>
      <c r="D24" s="5">
        <f>D19-D20</f>
        <v>14.245044226894017</v>
      </c>
      <c r="E24" s="5">
        <f>E18*E15</f>
        <v>5.425167629115339</v>
      </c>
    </row>
    <row r="25" spans="1:9" ht="15">
      <c r="A25" s="1"/>
      <c r="B25" s="1"/>
      <c r="C25" s="1"/>
      <c r="D25" s="1"/>
      <c r="E25" s="1"/>
      <c r="F25" s="1"/>
      <c r="G25" s="1"/>
      <c r="H25" s="13"/>
      <c r="I25" s="13"/>
    </row>
    <row r="26" spans="1:5" ht="15.75">
      <c r="A26" s="2" t="s">
        <v>24</v>
      </c>
      <c r="C26" s="8" t="s">
        <v>3</v>
      </c>
      <c r="D26" s="8" t="s">
        <v>4</v>
      </c>
      <c r="E26" s="8" t="s">
        <v>5</v>
      </c>
    </row>
    <row r="27" spans="2:4" ht="18">
      <c r="B27" t="s">
        <v>25</v>
      </c>
      <c r="C27" s="11">
        <v>350</v>
      </c>
      <c r="D27" s="11">
        <v>400</v>
      </c>
    </row>
    <row r="28" spans="2:5" ht="18">
      <c r="B28" t="s">
        <v>26</v>
      </c>
      <c r="C28" s="11">
        <v>240</v>
      </c>
      <c r="D28" s="11">
        <v>240</v>
      </c>
      <c r="E28" s="11">
        <v>260</v>
      </c>
    </row>
    <row r="30" spans="2:5" ht="18">
      <c r="B30" t="s">
        <v>105</v>
      </c>
      <c r="C30" s="14">
        <v>140</v>
      </c>
      <c r="D30" s="14">
        <v>140</v>
      </c>
      <c r="E30" s="14">
        <v>140</v>
      </c>
    </row>
    <row r="31" spans="2:5" ht="18">
      <c r="B31" t="s">
        <v>106</v>
      </c>
      <c r="C31" s="14">
        <v>38</v>
      </c>
      <c r="D31" s="14">
        <v>38</v>
      </c>
      <c r="E31" s="14">
        <v>38</v>
      </c>
    </row>
    <row r="32" spans="2:5" ht="18">
      <c r="B32" t="s">
        <v>107</v>
      </c>
      <c r="C32" s="11">
        <v>0</v>
      </c>
      <c r="D32" s="11"/>
      <c r="E32" s="11"/>
    </row>
    <row r="34" spans="1:7" ht="15.75">
      <c r="A34" s="2" t="s">
        <v>27</v>
      </c>
      <c r="G34" s="8" t="s">
        <v>6</v>
      </c>
    </row>
    <row r="35" spans="2:7" ht="15">
      <c r="B35" t="s">
        <v>28</v>
      </c>
      <c r="C35" s="6">
        <f>C23*C27</f>
        <v>1300.558100229988</v>
      </c>
      <c r="D35" s="6">
        <f>D23*D27</f>
        <v>2679.6391066029337</v>
      </c>
      <c r="E35" s="6"/>
      <c r="G35" s="6">
        <f>SUM(C35:E35)</f>
        <v>3980.1972068329214</v>
      </c>
    </row>
    <row r="36" spans="2:7" ht="15">
      <c r="B36" t="s">
        <v>29</v>
      </c>
      <c r="C36" s="6">
        <f>C24*C28</f>
        <v>1547.5512891818794</v>
      </c>
      <c r="D36" s="6">
        <f>D24*D28</f>
        <v>3418.810614454564</v>
      </c>
      <c r="E36" s="6">
        <f>E24*E28</f>
        <v>1410.543583569988</v>
      </c>
      <c r="G36" s="6">
        <f>SUM(C36:E36)</f>
        <v>6376.905487206432</v>
      </c>
    </row>
    <row r="37" spans="3:7" ht="15">
      <c r="C37" s="6"/>
      <c r="D37" s="6"/>
      <c r="E37" s="6"/>
      <c r="G37" s="6"/>
    </row>
    <row r="38" spans="2:7" ht="15">
      <c r="B38" t="s">
        <v>30</v>
      </c>
      <c r="C38" s="6">
        <f>C19*SUM(C30:C32)</f>
        <v>1943.3823618253641</v>
      </c>
      <c r="D38" s="6">
        <f>D19*SUM(D30:D32)</f>
        <v>3971.6549664256854</v>
      </c>
      <c r="E38" s="6">
        <f>E19*SUM(E30:E32)</f>
        <v>965.6798379825302</v>
      </c>
      <c r="G38" s="6">
        <f>SUM(C38:E38)</f>
        <v>6880.71716623358</v>
      </c>
    </row>
    <row r="39" spans="1:9" ht="16.5" thickBot="1">
      <c r="A39" s="2" t="s">
        <v>31</v>
      </c>
      <c r="B39" s="13"/>
      <c r="C39" s="9"/>
      <c r="D39" s="9"/>
      <c r="E39" s="9"/>
      <c r="F39" s="9"/>
      <c r="G39" s="3"/>
      <c r="H39" s="13"/>
      <c r="I39" s="13"/>
    </row>
    <row r="40" spans="2:7" ht="15">
      <c r="B40" t="s">
        <v>32</v>
      </c>
      <c r="C40" s="6">
        <f>C35+C36-C38</f>
        <v>904.7270275865035</v>
      </c>
      <c r="D40" s="6">
        <f>D35+D36-D38</f>
        <v>2126.794754631812</v>
      </c>
      <c r="E40" s="6">
        <f>E35+E36-E38</f>
        <v>444.86374558745774</v>
      </c>
      <c r="G40" s="6">
        <f>G35+G36-G38</f>
        <v>3476.3855278057727</v>
      </c>
    </row>
    <row r="41" spans="2:7" ht="18">
      <c r="B41" t="s">
        <v>108</v>
      </c>
      <c r="C41" s="6">
        <f>IF(C5&gt;0,C40/C19,0)</f>
        <v>82.86655990802345</v>
      </c>
      <c r="D41" s="6">
        <f>IF(D5&gt;0,D40/D19,0)</f>
        <v>95.3178132352112</v>
      </c>
      <c r="E41" s="6">
        <f>IF(E5&gt;0,E40/E19,0)</f>
        <v>82</v>
      </c>
      <c r="G41" s="6">
        <f>IF(G40&gt;0,G40/G19,"")</f>
        <v>89.93199531381832</v>
      </c>
    </row>
  </sheetData>
  <sheetProtection sheet="1" objects="1" scenarios="1"/>
  <printOptions/>
  <pageMargins left="0.7874015748031497" right="0.7874015748031497" top="0.84" bottom="0.84" header="0.46" footer="0.5118110236220472"/>
  <pageSetup blackAndWhite="1" horizontalDpi="300" verticalDpi="300" orientation="portrait" paperSize="9" r:id="rId1"/>
  <headerFooter alignWithMargins="0">
    <oddHeader>&amp;L&amp;8Fil: &amp;F&amp;C&amp;8Blad: &amp;A&amp;</oddHeader>
    <oddFooter>&amp;C&amp;8Slöjd Data  Kalkylmodeller för skogliga beräkningar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34"/>
  <sheetViews>
    <sheetView zoomScale="90" zoomScaleNormal="90" workbookViewId="0" topLeftCell="A1">
      <selection activeCell="D32" sqref="D32"/>
    </sheetView>
  </sheetViews>
  <sheetFormatPr defaultColWidth="8.88671875" defaultRowHeight="15"/>
  <cols>
    <col min="1" max="1" width="3.21484375" style="35" customWidth="1"/>
    <col min="2" max="2" width="23.4453125" style="35" customWidth="1"/>
    <col min="3" max="3" width="9.4453125" style="35" bestFit="1" customWidth="1"/>
    <col min="4" max="16384" width="8.88671875" style="35" customWidth="1"/>
  </cols>
  <sheetData>
    <row r="3" spans="4:6" ht="15">
      <c r="D3" s="35" t="s">
        <v>73</v>
      </c>
      <c r="F3" s="35" t="s">
        <v>74</v>
      </c>
    </row>
    <row r="4" spans="1:7" ht="15.75">
      <c r="A4" s="36" t="s">
        <v>2</v>
      </c>
      <c r="C4" s="35" t="s">
        <v>46</v>
      </c>
      <c r="E4" s="35" t="s">
        <v>75</v>
      </c>
      <c r="G4" s="35" t="s">
        <v>76</v>
      </c>
    </row>
    <row r="5" spans="2:7" ht="15">
      <c r="B5" s="35" t="s">
        <v>77</v>
      </c>
      <c r="C5" s="14">
        <v>7000</v>
      </c>
      <c r="D5" s="14">
        <v>11000</v>
      </c>
      <c r="E5" s="14">
        <v>90000</v>
      </c>
      <c r="F5" s="14">
        <v>15000</v>
      </c>
      <c r="G5" s="14">
        <v>13000</v>
      </c>
    </row>
    <row r="6" spans="2:7" ht="15">
      <c r="B6" s="35" t="s">
        <v>78</v>
      </c>
      <c r="C6" s="14">
        <v>2</v>
      </c>
      <c r="D6" s="14">
        <v>10</v>
      </c>
      <c r="E6" s="14">
        <v>15</v>
      </c>
      <c r="F6" s="14">
        <v>10</v>
      </c>
      <c r="G6" s="14">
        <v>10</v>
      </c>
    </row>
    <row r="7" spans="2:7" ht="15">
      <c r="B7" s="35" t="s">
        <v>102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</row>
    <row r="8" spans="2:7" ht="15">
      <c r="B8" s="35" t="s">
        <v>79</v>
      </c>
      <c r="C8" s="14">
        <v>1000</v>
      </c>
      <c r="D8" s="14">
        <v>0</v>
      </c>
      <c r="E8" s="14">
        <v>27000</v>
      </c>
      <c r="F8" s="14">
        <v>5000</v>
      </c>
      <c r="G8" s="14">
        <v>3000</v>
      </c>
    </row>
    <row r="9" spans="2:7" ht="15">
      <c r="B9" s="35" t="s">
        <v>119</v>
      </c>
      <c r="C9" s="37">
        <f>C8*(1+C7%)^-C6</f>
        <v>907.0294784580498</v>
      </c>
      <c r="D9" s="37">
        <f>D8*(1+D7%)^-D6</f>
        <v>0</v>
      </c>
      <c r="E9" s="37">
        <f>E8*(1+E7%)^-E6</f>
        <v>12987.461648456196</v>
      </c>
      <c r="F9" s="37">
        <f>F8*(1+F7%)^-F6</f>
        <v>3069.5662677037967</v>
      </c>
      <c r="G9" s="37">
        <f>G8*(1+G7%)^-G6</f>
        <v>1841.739760622278</v>
      </c>
    </row>
    <row r="10" spans="3:7" ht="15">
      <c r="C10" s="37"/>
      <c r="D10" s="37"/>
      <c r="E10" s="37"/>
      <c r="F10" s="37"/>
      <c r="G10" s="37"/>
    </row>
    <row r="11" spans="2:7" ht="15">
      <c r="B11" s="35" t="s">
        <v>80</v>
      </c>
      <c r="C11" s="14">
        <v>15</v>
      </c>
      <c r="D11" s="14">
        <v>20</v>
      </c>
      <c r="E11" s="14">
        <v>10</v>
      </c>
      <c r="F11" s="14">
        <v>0</v>
      </c>
      <c r="G11" s="14">
        <v>5</v>
      </c>
    </row>
    <row r="12" spans="2:7" ht="15">
      <c r="B12" s="35" t="s">
        <v>81</v>
      </c>
      <c r="C12" s="14">
        <v>4</v>
      </c>
      <c r="D12" s="14">
        <v>20</v>
      </c>
      <c r="E12" s="14">
        <v>20</v>
      </c>
      <c r="F12" s="14">
        <v>5</v>
      </c>
      <c r="G12" s="14">
        <v>10</v>
      </c>
    </row>
    <row r="13" spans="3:7" ht="15">
      <c r="C13" s="37"/>
      <c r="D13" s="37"/>
      <c r="E13" s="37"/>
      <c r="F13" s="37"/>
      <c r="G13" s="37"/>
    </row>
    <row r="14" spans="2:7" ht="18">
      <c r="B14" s="35" t="s">
        <v>109</v>
      </c>
      <c r="C14" s="14">
        <v>400</v>
      </c>
      <c r="D14" s="14">
        <f>C14</f>
        <v>400</v>
      </c>
      <c r="E14" s="14">
        <f>D14</f>
        <v>400</v>
      </c>
      <c r="F14" s="14">
        <f>E14</f>
        <v>400</v>
      </c>
      <c r="G14" s="14">
        <f>F14</f>
        <v>400</v>
      </c>
    </row>
    <row r="15" spans="2:7" ht="15">
      <c r="B15" s="35" t="s">
        <v>82</v>
      </c>
      <c r="C15" s="14">
        <v>500</v>
      </c>
      <c r="D15" s="14">
        <v>130</v>
      </c>
      <c r="E15" s="14">
        <v>80</v>
      </c>
      <c r="F15" s="14">
        <v>130</v>
      </c>
      <c r="G15" s="14">
        <v>130</v>
      </c>
    </row>
    <row r="16" spans="3:7" ht="15">
      <c r="C16" s="37"/>
      <c r="D16" s="37"/>
      <c r="E16" s="37"/>
      <c r="F16" s="37"/>
      <c r="G16" s="37"/>
    </row>
    <row r="17" spans="1:7" ht="15.75">
      <c r="A17" s="36" t="s">
        <v>83</v>
      </c>
      <c r="C17" s="37"/>
      <c r="D17" s="37"/>
      <c r="E17" s="37"/>
      <c r="F17" s="37"/>
      <c r="G17" s="37"/>
    </row>
    <row r="18" spans="1:7" ht="15.75">
      <c r="A18" s="36"/>
      <c r="B18" s="38" t="s">
        <v>120</v>
      </c>
      <c r="C18" s="33"/>
      <c r="D18" s="33">
        <v>130</v>
      </c>
      <c r="E18" s="33"/>
      <c r="F18" s="33"/>
      <c r="G18" s="34"/>
    </row>
    <row r="19" spans="2:7" ht="15">
      <c r="B19" s="39" t="s">
        <v>84</v>
      </c>
      <c r="C19" s="40">
        <f>IF(C6&gt;0,(C5-C9)/C6,0)</f>
        <v>3046.485260770975</v>
      </c>
      <c r="D19" s="40">
        <f>IF(D6&gt;0,(D5-D9)/D6,0)</f>
        <v>1100</v>
      </c>
      <c r="E19" s="40">
        <f>IF(E6&gt;0,(E5-E9)/E6,0)</f>
        <v>5134.169223436254</v>
      </c>
      <c r="F19" s="40">
        <f>IF(F6&gt;0,(F5-F9)/F6,0)</f>
        <v>1193.0433732296203</v>
      </c>
      <c r="G19" s="41">
        <f>IF(G6&gt;0,(G5-G9)/G6,0)</f>
        <v>1115.826023937772</v>
      </c>
    </row>
    <row r="20" spans="2:7" ht="15">
      <c r="B20" s="39" t="s">
        <v>85</v>
      </c>
      <c r="C20" s="40">
        <f>(C5+C9)*C7/200</f>
        <v>197.67573696145126</v>
      </c>
      <c r="D20" s="40">
        <f>(D5+D9)*D7/200</f>
        <v>275</v>
      </c>
      <c r="E20" s="40">
        <f>(E5+E9)*E7/200</f>
        <v>2574.686541211405</v>
      </c>
      <c r="F20" s="40">
        <f>(F5+F9)*F7/200</f>
        <v>451.739156692595</v>
      </c>
      <c r="G20" s="41">
        <f>(G5+G9)*G7/200</f>
        <v>371.0434940155569</v>
      </c>
    </row>
    <row r="21" spans="2:7" ht="15.75">
      <c r="B21" s="42" t="s">
        <v>121</v>
      </c>
      <c r="C21" s="43">
        <f>SUM(C18:C20)</f>
        <v>3244.160997732426</v>
      </c>
      <c r="D21" s="43">
        <f>SUM(D18:D20)</f>
        <v>1505</v>
      </c>
      <c r="E21" s="43">
        <f>SUM(E18:E20)</f>
        <v>7708.855764647658</v>
      </c>
      <c r="F21" s="43">
        <f>SUM(F18:F20)</f>
        <v>1644.7825299222154</v>
      </c>
      <c r="G21" s="44">
        <f>SUM(G18:G20)</f>
        <v>1486.869517953329</v>
      </c>
    </row>
    <row r="22" spans="2:7" ht="15.75">
      <c r="B22" s="45"/>
      <c r="C22" s="40"/>
      <c r="D22" s="40"/>
      <c r="E22" s="40"/>
      <c r="F22" s="40"/>
      <c r="G22" s="40"/>
    </row>
    <row r="23" spans="2:7" ht="15">
      <c r="B23" s="38" t="s">
        <v>86</v>
      </c>
      <c r="C23" s="46">
        <f>C11*C15</f>
        <v>7500</v>
      </c>
      <c r="D23" s="46">
        <f>D11*D15</f>
        <v>2600</v>
      </c>
      <c r="E23" s="46">
        <f>E11*E15</f>
        <v>800</v>
      </c>
      <c r="F23" s="46">
        <f>F11*F15</f>
        <v>0</v>
      </c>
      <c r="G23" s="47">
        <f>G11*G15</f>
        <v>650</v>
      </c>
    </row>
    <row r="24" spans="2:7" ht="15">
      <c r="B24" s="39" t="s">
        <v>87</v>
      </c>
      <c r="C24" s="40">
        <f>C12*C15</f>
        <v>2000</v>
      </c>
      <c r="D24" s="40">
        <f>D12*D15</f>
        <v>2600</v>
      </c>
      <c r="E24" s="40">
        <f>E12*E15</f>
        <v>1600</v>
      </c>
      <c r="F24" s="40">
        <f>F12*F15</f>
        <v>650</v>
      </c>
      <c r="G24" s="41">
        <f>G12*G15</f>
        <v>1300</v>
      </c>
    </row>
    <row r="25" spans="2:7" ht="15.75">
      <c r="B25" s="42" t="s">
        <v>122</v>
      </c>
      <c r="C25" s="43">
        <f>SUM(C23:C24)</f>
        <v>9500</v>
      </c>
      <c r="D25" s="43">
        <f>SUM(D23:D24)</f>
        <v>5200</v>
      </c>
      <c r="E25" s="43">
        <f>SUM(E23:E24)</f>
        <v>2400</v>
      </c>
      <c r="F25" s="43">
        <f>SUM(F23:F24)</f>
        <v>650</v>
      </c>
      <c r="G25" s="44">
        <f>SUM(G23:G24)</f>
        <v>1950</v>
      </c>
    </row>
    <row r="26" spans="3:7" ht="15">
      <c r="C26" s="37"/>
      <c r="D26" s="37"/>
      <c r="E26" s="37"/>
      <c r="F26" s="37"/>
      <c r="G26" s="37"/>
    </row>
    <row r="27" spans="1:7" ht="15.75">
      <c r="A27" s="36" t="s">
        <v>88</v>
      </c>
      <c r="C27" s="37">
        <f>C21+C25</f>
        <v>12744.160997732426</v>
      </c>
      <c r="D27" s="37">
        <f>D21+D25</f>
        <v>6705</v>
      </c>
      <c r="E27" s="37">
        <f>E21+E25</f>
        <v>10108.855764647658</v>
      </c>
      <c r="F27" s="37">
        <f>F21+F25</f>
        <v>2294.7825299222154</v>
      </c>
      <c r="G27" s="37">
        <f>G21+G25</f>
        <v>3436.869517953329</v>
      </c>
    </row>
    <row r="28" spans="3:7" ht="15">
      <c r="C28" s="37"/>
      <c r="D28" s="37"/>
      <c r="E28" s="37"/>
      <c r="F28" s="37"/>
      <c r="G28" s="37"/>
    </row>
    <row r="29" spans="1:7" ht="15.75">
      <c r="A29" s="36" t="s">
        <v>89</v>
      </c>
      <c r="C29" s="37"/>
      <c r="D29" s="37"/>
      <c r="E29" s="37"/>
      <c r="F29" s="37"/>
      <c r="G29" s="37"/>
    </row>
    <row r="30" spans="2:7" ht="15">
      <c r="B30" s="35" t="s">
        <v>121</v>
      </c>
      <c r="C30" s="37">
        <f>IF(C15&gt;0,C21/C15,0)</f>
        <v>6.488321995464852</v>
      </c>
      <c r="D30" s="37">
        <f>IF(D15&gt;0,D21/D15,0)</f>
        <v>11.576923076923077</v>
      </c>
      <c r="E30" s="37">
        <f>IF(E15&gt;0,E21/E15,0)</f>
        <v>96.36069705809572</v>
      </c>
      <c r="F30" s="37">
        <f>IF(F15&gt;0,F21/F15,0)</f>
        <v>12.652173307093964</v>
      </c>
      <c r="G30" s="37">
        <f>IF(G15&gt;0,G21/G15,0)</f>
        <v>11.437457830410223</v>
      </c>
    </row>
    <row r="31" spans="2:7" ht="15">
      <c r="B31" s="35" t="s">
        <v>122</v>
      </c>
      <c r="C31" s="37">
        <f>IF(C15&gt;0,C25/C15,0)</f>
        <v>19</v>
      </c>
      <c r="D31" s="37">
        <f>IF(D15&gt;0,D25/D15,0)</f>
        <v>40</v>
      </c>
      <c r="E31" s="37">
        <f>IF(E15&gt;0,E25/E15,0)</f>
        <v>30</v>
      </c>
      <c r="F31" s="37">
        <f>IF(F15&gt;0,F25/F15,0)</f>
        <v>5</v>
      </c>
      <c r="G31" s="37">
        <f>IF(G15&gt;0,G25/G15,0)</f>
        <v>15</v>
      </c>
    </row>
    <row r="32" spans="2:7" ht="15.75">
      <c r="B32" s="48" t="s">
        <v>32</v>
      </c>
      <c r="C32" s="37">
        <f>C30+C31</f>
        <v>25.48832199546485</v>
      </c>
      <c r="D32" s="37">
        <f>D30+D31</f>
        <v>51.57692307692308</v>
      </c>
      <c r="E32" s="37">
        <f>E30+E31</f>
        <v>126.36069705809572</v>
      </c>
      <c r="F32" s="37">
        <f>F30+F31</f>
        <v>17.652173307093964</v>
      </c>
      <c r="G32" s="37">
        <f>G30+G31</f>
        <v>26.437457830410224</v>
      </c>
    </row>
    <row r="33" spans="3:7" ht="15">
      <c r="C33" s="37"/>
      <c r="D33" s="37"/>
      <c r="E33" s="37"/>
      <c r="F33" s="37"/>
      <c r="G33" s="37"/>
    </row>
    <row r="34" spans="1:7" ht="18.75">
      <c r="A34" s="36" t="s">
        <v>110</v>
      </c>
      <c r="C34" s="37">
        <f>IF(C14&gt;0,C27/C14,0)</f>
        <v>31.860402494331066</v>
      </c>
      <c r="D34" s="37">
        <f>IF(D14&gt;0,D27/D14,0)</f>
        <v>16.7625</v>
      </c>
      <c r="E34" s="37">
        <f>IF(E14&gt;0,E27/E14,0)</f>
        <v>25.272139411619147</v>
      </c>
      <c r="F34" s="37">
        <f>IF(F14&gt;0,F27/F14,0)</f>
        <v>5.736956324805538</v>
      </c>
      <c r="G34" s="37">
        <f>IF(G14&gt;0,G27/G14,0)</f>
        <v>8.592173794883323</v>
      </c>
    </row>
  </sheetData>
  <sheetProtection sheet="1" objects="1" scenarios="1"/>
  <printOptions/>
  <pageMargins left="0.75" right="0.71" top="1" bottom="1" header="0.5" footer="0.5"/>
  <pageSetup horizontalDpi="300" verticalDpi="300" orientation="portrait" paperSize="9" r:id="rId2"/>
  <headerFooter alignWithMargins="0">
    <oddHeader>&amp;L&amp;8Fil: &amp;F&amp;C&amp;8Blad: &amp;A&amp;</oddHeader>
    <oddFooter>&amp;C&amp;8Slöjd Data  Kalkylmodeller för skogliga beräkningar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workbookViewId="0" topLeftCell="A1">
      <selection activeCell="C6" sqref="C6"/>
    </sheetView>
  </sheetViews>
  <sheetFormatPr defaultColWidth="8.88671875" defaultRowHeight="15"/>
  <cols>
    <col min="1" max="1" width="9.4453125" style="0" customWidth="1"/>
    <col min="2" max="2" width="7.10546875" style="0" customWidth="1"/>
    <col min="3" max="13" width="5.3359375" style="0" customWidth="1"/>
  </cols>
  <sheetData>
    <row r="1" ht="26.25">
      <c r="A1" s="15" t="s">
        <v>90</v>
      </c>
    </row>
    <row r="3" ht="18.75">
      <c r="A3" s="2" t="s">
        <v>115</v>
      </c>
    </row>
    <row r="4" spans="1:5" ht="15">
      <c r="A4" s="16" t="s">
        <v>91</v>
      </c>
      <c r="B4" s="16" t="s">
        <v>92</v>
      </c>
      <c r="C4" s="16" t="s">
        <v>93</v>
      </c>
      <c r="D4" s="16"/>
      <c r="E4" s="16"/>
    </row>
    <row r="5" spans="1:13" ht="15.75">
      <c r="A5" s="16"/>
      <c r="B5" s="16"/>
      <c r="C5" s="2">
        <v>10</v>
      </c>
      <c r="D5" s="32">
        <v>12</v>
      </c>
      <c r="E5" s="2">
        <v>14</v>
      </c>
      <c r="F5" s="2">
        <v>16</v>
      </c>
      <c r="G5" s="2">
        <v>18</v>
      </c>
      <c r="H5" s="2">
        <v>20</v>
      </c>
      <c r="I5" s="2">
        <v>22</v>
      </c>
      <c r="J5" s="2">
        <v>24</v>
      </c>
      <c r="K5" s="2">
        <v>26</v>
      </c>
      <c r="L5" s="2">
        <v>28</v>
      </c>
      <c r="M5" s="2">
        <v>30</v>
      </c>
    </row>
    <row r="6" spans="1:13" ht="15">
      <c r="A6" t="s">
        <v>94</v>
      </c>
      <c r="B6" s="8" t="s">
        <v>95</v>
      </c>
      <c r="C6" s="12" t="s">
        <v>96</v>
      </c>
      <c r="D6" s="12" t="s">
        <v>96</v>
      </c>
      <c r="E6" s="12" t="s">
        <v>96</v>
      </c>
      <c r="F6" s="12">
        <v>1.1</v>
      </c>
      <c r="G6" s="12">
        <v>0.92</v>
      </c>
      <c r="H6" s="12">
        <v>0.8</v>
      </c>
      <c r="I6" s="12">
        <v>0.68</v>
      </c>
      <c r="J6" s="12">
        <v>0.6</v>
      </c>
      <c r="K6" s="12">
        <v>0.53</v>
      </c>
      <c r="L6" s="12">
        <v>0.5</v>
      </c>
      <c r="M6" s="12">
        <v>0.48</v>
      </c>
    </row>
    <row r="7" spans="2:13" ht="15">
      <c r="B7" s="8" t="s">
        <v>4</v>
      </c>
      <c r="C7" s="12" t="s">
        <v>96</v>
      </c>
      <c r="D7" s="12" t="s">
        <v>96</v>
      </c>
      <c r="E7" s="12" t="s">
        <v>96</v>
      </c>
      <c r="F7" s="12">
        <v>1.6</v>
      </c>
      <c r="G7" s="12">
        <v>1.25</v>
      </c>
      <c r="H7" s="12">
        <v>1.02</v>
      </c>
      <c r="I7" s="12">
        <v>0.89</v>
      </c>
      <c r="J7" s="12">
        <v>0.79</v>
      </c>
      <c r="K7" s="12">
        <v>0.71</v>
      </c>
      <c r="L7" s="12">
        <v>0.65</v>
      </c>
      <c r="M7" s="12">
        <v>0.6</v>
      </c>
    </row>
    <row r="8" spans="1:13" ht="15">
      <c r="A8" t="s">
        <v>33</v>
      </c>
      <c r="B8" s="8" t="s">
        <v>95</v>
      </c>
      <c r="C8" s="12">
        <v>1.8</v>
      </c>
      <c r="D8" s="12">
        <v>1.54</v>
      </c>
      <c r="E8" s="12">
        <v>1.35</v>
      </c>
      <c r="F8" s="12">
        <v>1.23</v>
      </c>
      <c r="G8" s="12">
        <v>1.08</v>
      </c>
      <c r="H8" s="12">
        <v>0.98</v>
      </c>
      <c r="I8" s="12">
        <v>0.89</v>
      </c>
      <c r="J8" s="12">
        <v>0.83</v>
      </c>
      <c r="K8" s="12">
        <v>0.79</v>
      </c>
      <c r="L8" s="12"/>
      <c r="M8" s="12"/>
    </row>
    <row r="9" spans="2:13" ht="15">
      <c r="B9" s="8" t="s">
        <v>4</v>
      </c>
      <c r="C9" s="12">
        <v>2.15</v>
      </c>
      <c r="D9" s="12">
        <v>1.89</v>
      </c>
      <c r="E9" s="12">
        <v>1.7</v>
      </c>
      <c r="F9" s="12">
        <v>1.53</v>
      </c>
      <c r="G9" s="12">
        <v>1.35</v>
      </c>
      <c r="H9" s="12">
        <v>1.2</v>
      </c>
      <c r="I9" s="12">
        <v>1.08</v>
      </c>
      <c r="J9" s="12">
        <v>0.98</v>
      </c>
      <c r="K9" s="12">
        <v>0.9</v>
      </c>
      <c r="L9" s="12"/>
      <c r="M9" s="12"/>
    </row>
    <row r="11" ht="18.75">
      <c r="A11" s="2" t="s">
        <v>116</v>
      </c>
    </row>
    <row r="12" spans="1:5" ht="15">
      <c r="A12" s="16" t="s">
        <v>91</v>
      </c>
      <c r="B12" s="16"/>
      <c r="C12" s="16" t="s">
        <v>93</v>
      </c>
      <c r="D12" s="16"/>
      <c r="E12" s="16"/>
    </row>
    <row r="13" spans="3:13" ht="15.75">
      <c r="C13" s="2">
        <v>10</v>
      </c>
      <c r="D13" s="32">
        <v>12</v>
      </c>
      <c r="E13" s="2">
        <v>14</v>
      </c>
      <c r="F13" s="2">
        <v>16</v>
      </c>
      <c r="G13" s="2">
        <v>18</v>
      </c>
      <c r="H13" s="2">
        <v>20</v>
      </c>
      <c r="I13" s="2">
        <v>22</v>
      </c>
      <c r="J13" s="2">
        <v>24</v>
      </c>
      <c r="K13" s="2">
        <v>26</v>
      </c>
      <c r="L13" s="2">
        <v>28</v>
      </c>
      <c r="M13" s="2">
        <v>30</v>
      </c>
    </row>
    <row r="14" spans="1:13" ht="15">
      <c r="A14" t="s">
        <v>94</v>
      </c>
      <c r="C14" s="12" t="s">
        <v>96</v>
      </c>
      <c r="D14" s="12" t="s">
        <v>96</v>
      </c>
      <c r="E14" s="20">
        <v>0.0911</v>
      </c>
      <c r="F14" s="20">
        <v>0.08</v>
      </c>
      <c r="G14" s="20">
        <v>0.07300000000000001</v>
      </c>
      <c r="H14" s="20">
        <v>0.068</v>
      </c>
      <c r="I14" s="20">
        <v>0.06400000000000002</v>
      </c>
      <c r="J14" s="20">
        <v>0.062</v>
      </c>
      <c r="K14" s="20">
        <v>0.06</v>
      </c>
      <c r="L14" s="20">
        <v>0.06</v>
      </c>
      <c r="M14" s="20">
        <v>0.059</v>
      </c>
    </row>
    <row r="15" spans="3:13" ht="1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t="s">
        <v>33</v>
      </c>
      <c r="C16" s="20">
        <v>0.312</v>
      </c>
      <c r="D16" s="20">
        <v>0.25</v>
      </c>
      <c r="E16" s="20">
        <v>0.21</v>
      </c>
      <c r="F16" s="20">
        <v>0.18</v>
      </c>
      <c r="G16" s="20">
        <v>0.157</v>
      </c>
      <c r="H16" s="20">
        <v>0.133</v>
      </c>
      <c r="I16" s="20">
        <v>0.117</v>
      </c>
      <c r="J16" s="20"/>
      <c r="K16" s="20"/>
      <c r="L16" s="20"/>
      <c r="M16" s="20"/>
    </row>
    <row r="18" ht="18.75">
      <c r="A18" s="2" t="s">
        <v>118</v>
      </c>
    </row>
    <row r="19" spans="2:9" ht="18">
      <c r="B19" s="18" t="s">
        <v>97</v>
      </c>
      <c r="G19" s="8" t="s">
        <v>98</v>
      </c>
      <c r="H19" s="12">
        <v>0.12</v>
      </c>
      <c r="I19" t="s">
        <v>117</v>
      </c>
    </row>
    <row r="20" spans="7:9" ht="18">
      <c r="G20" s="8" t="s">
        <v>99</v>
      </c>
      <c r="H20" s="12">
        <v>0.1</v>
      </c>
      <c r="I20" t="s">
        <v>117</v>
      </c>
    </row>
    <row r="21" spans="7:8" ht="15">
      <c r="G21" s="8"/>
      <c r="H21" s="17"/>
    </row>
    <row r="22" spans="2:9" ht="18">
      <c r="B22" s="18" t="s">
        <v>100</v>
      </c>
      <c r="G22" s="8" t="s">
        <v>98</v>
      </c>
      <c r="H22" s="12">
        <v>0.32</v>
      </c>
      <c r="I22" t="s">
        <v>117</v>
      </c>
    </row>
    <row r="23" spans="7:9" ht="18">
      <c r="G23" s="8" t="s">
        <v>99</v>
      </c>
      <c r="H23" s="12">
        <v>0.27</v>
      </c>
      <c r="I23" t="s">
        <v>117</v>
      </c>
    </row>
    <row r="24" spans="7:8" ht="15">
      <c r="G24" s="8"/>
      <c r="H24" s="17"/>
    </row>
    <row r="25" spans="2:9" ht="18">
      <c r="B25" s="18" t="s">
        <v>101</v>
      </c>
      <c r="G25" s="8" t="s">
        <v>98</v>
      </c>
      <c r="H25" s="12">
        <v>0.2</v>
      </c>
      <c r="I25" t="s">
        <v>117</v>
      </c>
    </row>
    <row r="26" spans="7:9" ht="18">
      <c r="G26" s="8" t="s">
        <v>99</v>
      </c>
      <c r="H26" s="12">
        <v>0.18</v>
      </c>
      <c r="I26" t="s">
        <v>117</v>
      </c>
    </row>
  </sheetData>
  <sheetProtection sheet="1" objects="1" scenarios="1"/>
  <printOptions gridLines="1"/>
  <pageMargins left="0.59" right="0.32" top="1" bottom="1" header="0.5" footer="0.5"/>
  <pageSetup horizontalDpi="300" verticalDpi="300" orientation="portrait" paperSize="9" r:id="rId1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90" zoomScaleNormal="90" workbookViewId="0" topLeftCell="A1">
      <selection activeCell="B4" sqref="B4"/>
    </sheetView>
  </sheetViews>
  <sheetFormatPr defaultColWidth="8.88671875" defaultRowHeight="15"/>
  <cols>
    <col min="1" max="1" width="3.5546875" style="0" customWidth="1"/>
    <col min="2" max="2" width="23.21484375" style="0" customWidth="1"/>
    <col min="3" max="7" width="9.21484375" style="0" bestFit="1" customWidth="1"/>
  </cols>
  <sheetData>
    <row r="1" ht="26.25">
      <c r="B1" s="15" t="s">
        <v>104</v>
      </c>
    </row>
    <row r="3" ht="15.75">
      <c r="A3" s="2" t="s">
        <v>2</v>
      </c>
    </row>
    <row r="4" spans="1:7" ht="15.75">
      <c r="A4">
        <f>IF(LEFT(B4,1)="S",2,IF(LEFT(B4,1)="G",4,"Fel"))</f>
        <v>4</v>
      </c>
      <c r="B4" s="11" t="s">
        <v>33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34</v>
      </c>
    </row>
    <row r="5" spans="2:7" s="21" customFormat="1" ht="16.5">
      <c r="B5" s="21" t="s">
        <v>112</v>
      </c>
      <c r="C5" s="22">
        <f>GallrUtbyte!C19</f>
        <v>10.917878437221146</v>
      </c>
      <c r="D5" s="22">
        <f>GallrUtbyte!D19</f>
        <v>22.312668350706097</v>
      </c>
      <c r="E5" s="22">
        <f>GallrUtbyte!E19</f>
        <v>5.425167629115339</v>
      </c>
      <c r="F5" s="22">
        <f>SUM(C5:E5)</f>
        <v>38.65571441704258</v>
      </c>
      <c r="G5" s="23">
        <f>GallrUtbyte!G11</f>
        <v>0.10782503414037936</v>
      </c>
    </row>
    <row r="6" spans="2:6" s="21" customFormat="1" ht="14.25">
      <c r="B6" s="21" t="s">
        <v>35</v>
      </c>
      <c r="C6" s="24">
        <f>IF(C5&gt;0,C5/F5*100,"")</f>
        <v>28.243892531469182</v>
      </c>
      <c r="D6" s="24">
        <f>IF(D5&gt;0,D5/F5*100,"")</f>
        <v>57.72152626642145</v>
      </c>
      <c r="E6" s="24">
        <f>IF(E5&gt;0,E5/F5*100,"")</f>
        <v>14.034581202109367</v>
      </c>
      <c r="F6" s="24">
        <f>IF(F5&gt;0,SUM(C6:E6),"")</f>
        <v>100</v>
      </c>
    </row>
    <row r="7" s="21" customFormat="1" ht="14.25"/>
    <row r="8" spans="2:6" s="21" customFormat="1" ht="14.25">
      <c r="B8" s="21" t="s">
        <v>36</v>
      </c>
      <c r="C8" s="24">
        <f>GallrUtbyte!C35+GallrUtbyte!C36</f>
        <v>2848.1093894118676</v>
      </c>
      <c r="D8" s="24">
        <f>GallrUtbyte!D35+GallrUtbyte!D36</f>
        <v>6098.449721057497</v>
      </c>
      <c r="E8" s="24">
        <f>GallrUtbyte!E35+GallrUtbyte!E36</f>
        <v>1410.543583569988</v>
      </c>
      <c r="F8" s="24">
        <f>SUM(C8:E8)</f>
        <v>10357.102694039353</v>
      </c>
    </row>
    <row r="9" spans="2:7" s="21" customFormat="1" ht="14.25">
      <c r="B9" s="21" t="s">
        <v>12</v>
      </c>
      <c r="C9" s="22">
        <f>GallrUtbyte!C10</f>
        <v>16.459101761478827</v>
      </c>
      <c r="D9" s="22">
        <f>GallrUtbyte!D10</f>
        <v>14.628391553800022</v>
      </c>
      <c r="E9" s="22">
        <f>GallrUtbyte!E10</f>
        <v>11.427540035147043</v>
      </c>
      <c r="F9" s="22"/>
      <c r="G9" s="22">
        <f>GallrUtbyte!G10</f>
        <v>14.081598080755436</v>
      </c>
    </row>
    <row r="10" spans="2:6" s="21" customFormat="1" ht="14.25">
      <c r="B10" s="21" t="s">
        <v>37</v>
      </c>
      <c r="F10" s="25">
        <v>1</v>
      </c>
    </row>
    <row r="11" spans="1:7" s="21" customFormat="1" ht="14.25">
      <c r="A11" s="26"/>
      <c r="B11" s="26"/>
      <c r="C11" s="26"/>
      <c r="D11" s="26"/>
      <c r="E11" s="26"/>
      <c r="F11" s="26"/>
      <c r="G11" s="26"/>
    </row>
    <row r="12" spans="1:5" ht="15.75">
      <c r="A12" s="2" t="s">
        <v>30</v>
      </c>
      <c r="C12" t="s">
        <v>38</v>
      </c>
      <c r="E12" t="s">
        <v>30</v>
      </c>
    </row>
    <row r="13" spans="3:7" s="21" customFormat="1" ht="16.5">
      <c r="C13" s="27" t="s">
        <v>113</v>
      </c>
      <c r="D13" s="27" t="s">
        <v>39</v>
      </c>
      <c r="E13" s="27" t="s">
        <v>40</v>
      </c>
      <c r="F13" s="27" t="s">
        <v>39</v>
      </c>
      <c r="G13" s="27" t="s">
        <v>111</v>
      </c>
    </row>
    <row r="14" spans="2:7" s="21" customFormat="1" ht="14.25">
      <c r="B14" s="21" t="s">
        <v>41</v>
      </c>
      <c r="C14" s="28">
        <f>HLOOKUP($G$9,Resursbehov!$C$13:$M$16,$A$4,TRUE)</f>
        <v>0.21</v>
      </c>
      <c r="D14" s="22">
        <f>F5*C14</f>
        <v>8.117700027578941</v>
      </c>
      <c r="E14" s="29">
        <v>750</v>
      </c>
      <c r="F14" s="24">
        <f>D14*E14</f>
        <v>6088.275020684206</v>
      </c>
      <c r="G14" s="24">
        <f>F14/F5</f>
        <v>157.49999999999997</v>
      </c>
    </row>
    <row r="15" spans="2:7" s="21" customFormat="1" ht="14.25">
      <c r="B15" s="21" t="s">
        <v>42</v>
      </c>
      <c r="C15" s="28">
        <f>IF(C5+E5&gt;0,HLOOKUP((C9*C5+E9*E5)/(C5+E5),Resursbehov!$C$5:$M$9,$A$4,TRUE),0)</f>
        <v>1.35</v>
      </c>
      <c r="D15" s="22">
        <f>(C5+E5)*C15</f>
        <v>22.063112189554253</v>
      </c>
      <c r="E15" s="29">
        <v>225</v>
      </c>
      <c r="F15" s="24">
        <f>D15*E15</f>
        <v>4964.200242649707</v>
      </c>
      <c r="G15" s="24">
        <f>IF(C5+E5&gt;0,F15/(C5+E5),0)</f>
        <v>303.75</v>
      </c>
    </row>
    <row r="16" spans="2:7" s="21" customFormat="1" ht="14.25">
      <c r="B16" s="21" t="s">
        <v>43</v>
      </c>
      <c r="C16" s="28">
        <f>IF(D5&gt;0,HLOOKUP($D$9,Resursbehov!$C$5:$M$9,$A$4+1,TRUE),0)</f>
        <v>1.7</v>
      </c>
      <c r="D16" s="22">
        <f>D5*C16</f>
        <v>37.93153619620036</v>
      </c>
      <c r="F16" s="24">
        <f>D16*E15</f>
        <v>8534.595644145082</v>
      </c>
      <c r="G16" s="24">
        <f>IF(D5&gt;0,F16/D5,0)</f>
        <v>382.5</v>
      </c>
    </row>
    <row r="17" spans="2:7" s="21" customFormat="1" ht="14.25">
      <c r="B17" s="21" t="s">
        <v>44</v>
      </c>
      <c r="C17" s="28">
        <f>IF($A$4=2,Resursbehov!H19,IF($A$4=4,Resursbehov!H20,"Fel"))</f>
        <v>0.1</v>
      </c>
      <c r="D17" s="22">
        <f>F5*C17</f>
        <v>3.865571441704258</v>
      </c>
      <c r="E17" s="29">
        <v>475</v>
      </c>
      <c r="F17" s="24">
        <f>D17*E17</f>
        <v>1836.1464348095226</v>
      </c>
      <c r="G17" s="24">
        <f>F17/F5</f>
        <v>47.5</v>
      </c>
    </row>
    <row r="18" spans="1:6" ht="15.75">
      <c r="A18" s="2" t="s">
        <v>45</v>
      </c>
      <c r="C18" s="19"/>
      <c r="F18" s="6"/>
    </row>
    <row r="19" spans="2:7" s="21" customFormat="1" ht="14.25">
      <c r="B19" s="21" t="s">
        <v>46</v>
      </c>
      <c r="C19" s="30"/>
      <c r="E19" s="24">
        <f>MaskinKalkyl!C32</f>
        <v>25.48832199546485</v>
      </c>
      <c r="F19" s="24">
        <f>(D15+D16)*E19</f>
        <v>1529.1629160608093</v>
      </c>
      <c r="G19" s="24">
        <f>F19/F5</f>
        <v>39.558521660296364</v>
      </c>
    </row>
    <row r="20" spans="2:7" s="21" customFormat="1" ht="14.25">
      <c r="B20" s="21" t="s">
        <v>47</v>
      </c>
      <c r="C20" s="28">
        <f>IF($A$4=2,Resursbehov!H22,IF($A$4=4,Resursbehov!H23,"Fel"))</f>
        <v>0.27</v>
      </c>
      <c r="D20" s="22">
        <f>F5*C20</f>
        <v>10.437042892601498</v>
      </c>
      <c r="E20" s="24">
        <f>MaskinKalkyl!D32+MaskinKalkyl!F32+MaskinKalkyl!G32</f>
        <v>95.66655421442726</v>
      </c>
      <c r="F20" s="24">
        <f>D20*E20</f>
        <v>998.4759297233641</v>
      </c>
      <c r="G20" s="24">
        <f>F20/F5</f>
        <v>25.829969637895367</v>
      </c>
    </row>
    <row r="21" spans="2:7" s="21" customFormat="1" ht="14.25">
      <c r="B21" s="21" t="s">
        <v>48</v>
      </c>
      <c r="C21" s="28">
        <f>IF($A$4=2,Resursbehov!H25,IF($A$4=4,Resursbehov!H26,"Fel"))</f>
        <v>0.18</v>
      </c>
      <c r="D21" s="22">
        <f>F5*C21</f>
        <v>6.958028595067664</v>
      </c>
      <c r="E21" s="24">
        <f>MaskinKalkyl!D32+MaskinKalkyl!E32</f>
        <v>177.9376201350188</v>
      </c>
      <c r="F21" s="24">
        <f>D21*E21</f>
        <v>1238.0950490377486</v>
      </c>
      <c r="G21" s="24">
        <f>F21/F5</f>
        <v>32.02877162430338</v>
      </c>
    </row>
    <row r="22" spans="2:7" s="21" customFormat="1" ht="14.25">
      <c r="B22" s="21" t="s">
        <v>49</v>
      </c>
      <c r="F22" s="29">
        <v>0</v>
      </c>
      <c r="G22" s="24">
        <f>F22/F5</f>
        <v>0</v>
      </c>
    </row>
    <row r="23" spans="1:7" s="21" customFormat="1" ht="14.25">
      <c r="A23" s="26"/>
      <c r="B23" s="26"/>
      <c r="C23" s="26"/>
      <c r="D23" s="26"/>
      <c r="E23" s="26"/>
      <c r="F23" s="26"/>
      <c r="G23" s="26"/>
    </row>
    <row r="24" spans="1:7" ht="18.75">
      <c r="A24" s="2" t="s">
        <v>50</v>
      </c>
      <c r="F24" s="8" t="s">
        <v>39</v>
      </c>
      <c r="G24" s="8" t="s">
        <v>114</v>
      </c>
    </row>
    <row r="25" spans="2:7" s="21" customFormat="1" ht="14.25">
      <c r="B25" s="21" t="s">
        <v>51</v>
      </c>
      <c r="F25" s="24">
        <f>F14+F17+F22</f>
        <v>7924.421455493728</v>
      </c>
      <c r="G25" s="24">
        <f>F25/$F$5</f>
        <v>204.99999999999997</v>
      </c>
    </row>
    <row r="26" spans="2:7" s="21" customFormat="1" ht="14.25">
      <c r="B26" s="21" t="s">
        <v>52</v>
      </c>
      <c r="F26" s="24">
        <f>F15+F16+F17+F22</f>
        <v>15334.942321604312</v>
      </c>
      <c r="G26" s="24">
        <f>F26/$F$5</f>
        <v>396.7057019348069</v>
      </c>
    </row>
    <row r="27" spans="2:7" s="21" customFormat="1" ht="14.25">
      <c r="B27" s="21" t="s">
        <v>53</v>
      </c>
      <c r="F27" s="24">
        <f>F17+F19+F22</f>
        <v>3365.309350870332</v>
      </c>
      <c r="G27" s="24">
        <f>F27/$F$5</f>
        <v>87.05852166029636</v>
      </c>
    </row>
    <row r="28" spans="2:7" s="21" customFormat="1" ht="14.25">
      <c r="B28" s="21" t="s">
        <v>54</v>
      </c>
      <c r="F28" s="24">
        <f>F19+F20+F22</f>
        <v>2527.638845784173</v>
      </c>
      <c r="G28" s="24">
        <f>F28/$F$5</f>
        <v>65.38849129819172</v>
      </c>
    </row>
    <row r="29" spans="2:7" s="21" customFormat="1" ht="14.25">
      <c r="B29" s="21" t="s">
        <v>55</v>
      </c>
      <c r="F29" s="24">
        <f>F19+F21+F22</f>
        <v>2767.257965098558</v>
      </c>
      <c r="G29" s="24">
        <f>F29/$F$5</f>
        <v>71.58729328459975</v>
      </c>
    </row>
    <row r="30" spans="1:8" s="21" customFormat="1" ht="14.25">
      <c r="A30" s="26"/>
      <c r="B30" s="26"/>
      <c r="C30" s="26"/>
      <c r="D30" s="26"/>
      <c r="E30" s="26"/>
      <c r="F30" s="26"/>
      <c r="G30" s="26"/>
      <c r="H30" s="31"/>
    </row>
    <row r="31" spans="1:7" ht="18.75">
      <c r="A31" s="2" t="s">
        <v>56</v>
      </c>
      <c r="F31" s="8" t="s">
        <v>39</v>
      </c>
      <c r="G31" s="8" t="s">
        <v>114</v>
      </c>
    </row>
    <row r="32" spans="2:7" s="21" customFormat="1" ht="14.25">
      <c r="B32" s="21" t="s">
        <v>57</v>
      </c>
      <c r="F32" s="24">
        <f>$F$8-F25</f>
        <v>2432.681238545625</v>
      </c>
      <c r="G32" s="24">
        <f>F32/$F$5</f>
        <v>62.931995313818376</v>
      </c>
    </row>
    <row r="33" spans="2:7" s="21" customFormat="1" ht="14.25">
      <c r="B33" s="21" t="s">
        <v>58</v>
      </c>
      <c r="F33" s="24">
        <f>$F$8-F26</f>
        <v>-4977.839627564959</v>
      </c>
      <c r="G33" s="24">
        <f>F33/$F$5</f>
        <v>-128.77370662098855</v>
      </c>
    </row>
    <row r="34" spans="2:7" s="21" customFormat="1" ht="14.25">
      <c r="B34" s="21" t="s">
        <v>59</v>
      </c>
      <c r="F34" s="24">
        <f>$F$8-F27</f>
        <v>6991.793343169022</v>
      </c>
      <c r="G34" s="24">
        <f>F34/$F$5</f>
        <v>180.87347365352198</v>
      </c>
    </row>
    <row r="35" spans="2:7" s="21" customFormat="1" ht="14.25">
      <c r="B35" s="21" t="s">
        <v>60</v>
      </c>
      <c r="F35" s="24">
        <f>$F$8-F28</f>
        <v>7829.46384825518</v>
      </c>
      <c r="G35" s="24">
        <f>F35/$F$5</f>
        <v>202.5435040156266</v>
      </c>
    </row>
    <row r="36" spans="2:7" s="21" customFormat="1" ht="14.25">
      <c r="B36" s="21" t="s">
        <v>61</v>
      </c>
      <c r="F36" s="24">
        <f>$F$8-F29</f>
        <v>7589.844728940795</v>
      </c>
      <c r="G36" s="24">
        <f>F36/$F$5</f>
        <v>196.34470202921858</v>
      </c>
    </row>
    <row r="37" spans="1:7" s="21" customFormat="1" ht="14.25">
      <c r="A37" s="26"/>
      <c r="B37" s="26"/>
      <c r="C37" s="26"/>
      <c r="D37" s="26"/>
      <c r="E37" s="26"/>
      <c r="F37" s="26"/>
      <c r="G37" s="26"/>
    </row>
    <row r="38" spans="1:7" ht="18.75">
      <c r="A38" s="2" t="s">
        <v>62</v>
      </c>
      <c r="F38" s="8" t="s">
        <v>40</v>
      </c>
      <c r="G38" s="8" t="s">
        <v>114</v>
      </c>
    </row>
    <row r="39" spans="2:7" s="21" customFormat="1" ht="14.25">
      <c r="B39" s="21" t="s">
        <v>63</v>
      </c>
      <c r="F39" s="24">
        <f>(F14-F19)/(D15+D16)*F10</f>
        <v>75.99197973974512</v>
      </c>
      <c r="G39" s="24">
        <f>(D15+D16)*F39/$F$5</f>
        <v>117.94147833970362</v>
      </c>
    </row>
    <row r="40" spans="2:7" s="21" customFormat="1" ht="14.25">
      <c r="B40" s="21" t="s">
        <v>64</v>
      </c>
      <c r="F40" s="24">
        <f>(F15+F16-F19)/(D15+D16)*F10</f>
        <v>199.51167800453516</v>
      </c>
      <c r="G40" s="24">
        <f>(D15+D16)*F40/$F$5</f>
        <v>309.6471802745105</v>
      </c>
    </row>
    <row r="41" spans="2:7" s="21" customFormat="1" ht="14.25">
      <c r="B41" s="21" t="s">
        <v>65</v>
      </c>
      <c r="F41" s="24">
        <f>(F17-F20)/D20*F10</f>
        <v>80.25937171149863</v>
      </c>
      <c r="G41" s="24">
        <f>D20*F41/$F$5</f>
        <v>21.670030362104633</v>
      </c>
    </row>
    <row r="42" spans="2:7" s="21" customFormat="1" ht="14.25">
      <c r="B42" s="21" t="s">
        <v>66</v>
      </c>
      <c r="F42" s="24">
        <f>(F17-F21)/D21*F10</f>
        <v>85.9512687538701</v>
      </c>
      <c r="G42" s="24">
        <f>D15*F42/$F$5</f>
        <v>49.05749418810634</v>
      </c>
    </row>
    <row r="43" s="21" customFormat="1" ht="14.25"/>
    <row r="44" spans="2:7" s="21" customFormat="1" ht="14.25">
      <c r="B44" s="21" t="s">
        <v>67</v>
      </c>
      <c r="F44" s="24">
        <f>(F25-F19)/(D15+D16)*F10</f>
        <v>106.59715010433224</v>
      </c>
      <c r="G44" s="24">
        <f>(D15+D16)*F44/$F$5</f>
        <v>165.44147833970362</v>
      </c>
    </row>
    <row r="45" spans="2:7" s="21" customFormat="1" ht="14.25">
      <c r="B45" s="21" t="s">
        <v>68</v>
      </c>
      <c r="F45" s="24">
        <f>(F25-F19-F20)/(D15+D16+D20)*F10</f>
        <v>76.62435065460375</v>
      </c>
      <c r="G45" s="24">
        <f>(D15+D16+D20)*F45/$F$5</f>
        <v>139.61150870180825</v>
      </c>
    </row>
    <row r="46" spans="2:7" s="21" customFormat="1" ht="14.25">
      <c r="B46" s="21" t="s">
        <v>69</v>
      </c>
      <c r="F46" s="24">
        <f>(F25-F19-F21)/(D15+D16+D21)*F10</f>
        <v>77.02699463193045</v>
      </c>
      <c r="G46" s="24">
        <f>(D16+D17+D21)*F46/$F$5</f>
        <v>97.15152529273864</v>
      </c>
    </row>
    <row r="47" spans="2:7" s="21" customFormat="1" ht="14.25">
      <c r="B47" s="21" t="s">
        <v>70</v>
      </c>
      <c r="F47" s="24">
        <f>(F26-F19)/(D15+D16)*F10</f>
        <v>230.1168483691223</v>
      </c>
      <c r="G47" s="24">
        <f>(D15+D16)*F47/$F$5</f>
        <v>357.1471802745105</v>
      </c>
    </row>
    <row r="48" spans="2:7" s="21" customFormat="1" ht="14.25">
      <c r="B48" s="21" t="s">
        <v>71</v>
      </c>
      <c r="F48" s="24">
        <f>(F26-F19-F20)/(D15+D16+D20)*F10</f>
        <v>181.84006721070838</v>
      </c>
      <c r="G48" s="24">
        <f>(D15+D16+D20)*F48/$F$5</f>
        <v>331.3172106366152</v>
      </c>
    </row>
    <row r="49" spans="2:7" s="21" customFormat="1" ht="14.25">
      <c r="B49" s="21" t="s">
        <v>72</v>
      </c>
      <c r="F49" s="24">
        <f>(F26-F19-F21)/(D15+D16+D21)*F10</f>
        <v>187.70996057567052</v>
      </c>
      <c r="G49" s="24">
        <f>(D15+D16+D21)*F49/$F$5</f>
        <v>325.11840865020713</v>
      </c>
    </row>
    <row r="50" s="21" customFormat="1" ht="14.25"/>
    <row r="51" s="21" customFormat="1" ht="14.25"/>
  </sheetData>
  <sheetProtection sheet="1" objects="1" scenarios="1"/>
  <printOptions/>
  <pageMargins left="0.75" right="0.48" top="0.63" bottom="0.6" header="0.32" footer="0.32"/>
  <pageSetup horizontalDpi="300" verticalDpi="300" orientation="portrait" paperSize="9" r:id="rId1"/>
  <headerFooter alignWithMargins="0">
    <oddHeader>&amp;L&amp;8Fil: &amp;F&amp;C&amp;8Blad: &amp;A&amp;</oddHeader>
    <oddFooter>&amp;C&amp;8Slöjd Data  Kalkylmodeller för skogliga beräkningar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Klakylmall</dc:title>
  <dc:subject/>
  <dc:creator>Sven-Allan Törnqvist</dc:creator>
  <cp:keywords/>
  <dc:description/>
  <cp:lastModifiedBy>Helgesboskolan</cp:lastModifiedBy>
  <cp:lastPrinted>2003-02-08T17:38:19Z</cp:lastPrinted>
  <dcterms:modified xsi:type="dcterms:W3CDTF">2003-02-08T20:58:19Z</dcterms:modified>
  <cp:category/>
  <cp:version/>
  <cp:contentType/>
  <cp:contentStatus/>
</cp:coreProperties>
</file>